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0" documentId="8_{4BAC04F3-984E-4FCD-B722-C031BFB1B2BA}" xr6:coauthVersionLast="47" xr6:coauthVersionMax="47" xr10:uidLastSave="{00000000-0000-0000-0000-000000000000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<sst xmlns="http://schemas.openxmlformats.org/spreadsheetml/2006/main" count="605" uniqueCount="324">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</sst>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J35" sqref="J35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25776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190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130</v>
      </c>
      <c r="E9" s="144"/>
      <c r="F9" s="100"/>
      <c r="G9" s="78" t="str">
        <f>IF(N12="sprint","(Sprint-traject)","")</f>
        <v>(Sprint-traject)</v>
      </c>
      <c r="H9" s="100"/>
      <c r="I9" s="100"/>
      <c r="J9" s="100"/>
      <c r="K9" s="100"/>
      <c r="M9" s="101" t="s">
        <v>16</v>
      </c>
      <c r="N9" s="101">
        <f>VLOOKUP($D$6,Opleidingen!A2:B154,2,FALSE)</f>
        <v>4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282</v>
      </c>
      <c r="C11" s="100"/>
      <c r="D11" s="98">
        <v>46234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sprint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25776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850</v>
      </c>
      <c r="H18" s="155"/>
      <c r="I18" s="154">
        <f>(I19+I20+I21)</f>
        <v>857.2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850</v>
      </c>
      <c r="O18" s="110" t="e">
        <f>VLOOKUP(($D$4),Parameters!$A$4:$R$78,$N$7,FALSE)</f>
        <v>#N/A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200</v>
      </c>
      <c r="H19" s="155"/>
      <c r="I19" s="154">
        <f>IF(G19="-","-",G19*(100%+Parameters!$B$91))</f>
        <v>206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200</v>
      </c>
      <c r="O19" s="110" t="e">
        <f>VLOOKUP($D$4,Parameters!$A$4:$R$78,$N$7+3,FALSE)</f>
        <v>#N/A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610</v>
      </c>
      <c r="H20" s="155"/>
      <c r="I20" s="154">
        <f>IF(G20="-","-",G20*(100%))</f>
        <v>610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610</v>
      </c>
      <c r="O20" s="110" t="e">
        <f>VLOOKUP($D$4,Parameters!$A$4:$R$78,$N$7+6,FALSE)</f>
        <v>#N/A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40</v>
      </c>
      <c r="H21" s="155"/>
      <c r="I21" s="154">
        <f>IF(G21="-","-",G21*(100%+Parameters!$B$91))</f>
        <v>41.2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40</v>
      </c>
      <c r="O21" s="110" t="e">
        <f>VLOOKUP($D$4,Parameters!$A$4:$R$78,$N$7+9,FALSE)</f>
        <v>#N/A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 t="e">
        <f>VLOOKUP($D$4,Parameters!$A$4:$R$78,$N$7+12,FALSE)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8</v>
      </c>
      <c r="E26" s="161">
        <f>(D26*Parameters!$B$92)/60</f>
        <v>6.666666666666667</v>
      </c>
      <c r="F26" s="162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8</v>
      </c>
      <c r="E27" s="161">
        <f>(D27*Parameters!$B$92)/60</f>
        <v>6.666666666666667</v>
      </c>
      <c r="F27" s="162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8</v>
      </c>
      <c r="E28" s="161">
        <f>(D28*Parameters!$B$92)/60</f>
        <v>6.666666666666667</v>
      </c>
      <c r="F28" s="162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8</v>
      </c>
      <c r="E29" s="161">
        <f>(D29*Parameters!$B$92)/60</f>
        <v>6.666666666666667</v>
      </c>
      <c r="F29" s="162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/>
      </c>
      <c r="C32" s="113" t="s">
        <v>46</v>
      </c>
      <c r="D32" s="126"/>
      <c r="E32" s="161">
        <f>(D32*Parameters!$B$92)/60</f>
        <v>0</v>
      </c>
      <c r="F32" s="162"/>
      <c r="G32" s="124" t="str">
        <f>IF($N$11&gt;=2,IF($N$6="BOL",Parameters!C85,Parameters!B85),"-")</f>
        <v>-</v>
      </c>
      <c r="H32" s="125">
        <f>IF(G32&lt;&gt;"-",E32*G32,0)</f>
        <v>0</v>
      </c>
      <c r="I32" s="126">
        <v>0</v>
      </c>
      <c r="J32" s="126"/>
      <c r="K32" s="125">
        <f t="shared" ref="K32:K35" si="0">J32+I32+H32</f>
        <v>0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/>
      <c r="E33" s="161">
        <f>(D33*Parameters!$B$92)/60</f>
        <v>0</v>
      </c>
      <c r="F33" s="162"/>
      <c r="G33" s="124" t="str">
        <f>IF($N$11&gt;=2,IF($N$6="BOL",Parameters!C86,Parameters!B86),"-")</f>
        <v>-</v>
      </c>
      <c r="H33" s="125">
        <f t="shared" ref="H33:H35" si="1">IF(G33&lt;&gt;"-",E33*G33,0)</f>
        <v>0</v>
      </c>
      <c r="I33" s="126">
        <v>0</v>
      </c>
      <c r="J33" s="126"/>
      <c r="K33" s="125">
        <f t="shared" si="0"/>
        <v>0</v>
      </c>
      <c r="M33" s="101" t="s">
        <v>49</v>
      </c>
      <c r="N33" s="109">
        <f>IF(OR($N$6="BOL",$N$6="VRIJ"),0,N32*200/10)*(100%+Parameters!$B$91)</f>
        <v>0</v>
      </c>
      <c r="O33" s="110">
        <f>N33/(100%+Parameters!$B$91)</f>
        <v>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/>
      <c r="E34" s="161">
        <f>(D34*Parameters!$B$92)/60</f>
        <v>0</v>
      </c>
      <c r="F34" s="162"/>
      <c r="G34" s="124" t="str">
        <f>IF($N$11&gt;=2,IF($N$6="BOL",Parameters!C87,Parameters!B87),"-")</f>
        <v>-</v>
      </c>
      <c r="H34" s="125">
        <f t="shared" si="1"/>
        <v>0</v>
      </c>
      <c r="I34" s="126">
        <v>0</v>
      </c>
      <c r="J34" s="126"/>
      <c r="K34" s="125">
        <f t="shared" si="0"/>
        <v>0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/>
      <c r="E35" s="161">
        <f>(D35*Parameters!$B$92)/60</f>
        <v>0</v>
      </c>
      <c r="F35" s="162"/>
      <c r="G35" s="124" t="str">
        <f>IF($N$11&gt;=2,IF($N$6="BOL",Parameters!C88,Parameters!B88),"-")</f>
        <v>-</v>
      </c>
      <c r="H35" s="125">
        <f t="shared" si="1"/>
        <v>0</v>
      </c>
      <c r="I35" s="126">
        <v>0</v>
      </c>
      <c r="J35" s="126"/>
      <c r="K35" s="125">
        <f t="shared" si="0"/>
        <v>0</v>
      </c>
      <c r="M35" s="101" t="s">
        <v>53</v>
      </c>
      <c r="N35" s="109">
        <f>IF($N$6="BOL",N32*1000/10,IF($N$6="BBL",N32*850/10,0))*(100%+Parameters!$B$91)</f>
        <v>0</v>
      </c>
      <c r="O35" s="110">
        <f>N35/(100%+Parameters!$B$91)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0</v>
      </c>
      <c r="K36" s="131">
        <f>SUM(K32:K35)</f>
        <v>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233.33333333333334</v>
      </c>
      <c r="J51" s="105">
        <f>J48+J42+J36+J30</f>
        <v>800</v>
      </c>
      <c r="K51" s="134">
        <f>K48+K42+K36+K30</f>
        <v>1033.3333333333333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Logistiek supervisor (doorstroom + sprint)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25776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46234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0</v>
      </c>
      <c r="F14" s="29">
        <f>Programmering!K32</f>
        <v>0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0</v>
      </c>
      <c r="E15" s="29">
        <f>Programmering!J33</f>
        <v>0</v>
      </c>
      <c r="F15" s="29">
        <f>Programmering!K33</f>
        <v>0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0</v>
      </c>
      <c r="E16" s="29">
        <f>Programmering!J34</f>
        <v>0</v>
      </c>
      <c r="F16" s="29">
        <f>Programmering!K34</f>
        <v>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0</v>
      </c>
      <c r="E17" s="29">
        <f>Programmering!J35</f>
        <v>0</v>
      </c>
      <c r="F17" s="29">
        <f>Programmering!K35</f>
        <v>0</v>
      </c>
    </row>
    <row r="18" spans="2:6" ht="17.100000000000001" customHeight="1" x14ac:dyDescent="0.3">
      <c r="B18" s="166" t="str">
        <f>IF(Programmering!G36="","","Totaal ")</f>
        <v/>
      </c>
      <c r="C18" s="167"/>
      <c r="D18" s="32">
        <f>Programmering!H36+Programmering!I36</f>
        <v>0</v>
      </c>
      <c r="E18" s="32">
        <f>Programmering!J36</f>
        <v>0</v>
      </c>
      <c r="F18" s="32">
        <f>Programmering!K36</f>
        <v>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233.33333333333334</v>
      </c>
      <c r="E32" s="52">
        <f>Programmering!J51</f>
        <v>800</v>
      </c>
      <c r="F32" s="52">
        <f>Programmering!K51</f>
        <v>1033.3333333333333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25776s</v>
      </c>
      <c r="C3" t="str">
        <f>RIGHT(Programmering!D6,LEN(Programmering!D6)-8)</f>
        <v>Logistiek supervisor (doorstroom + sprint)</v>
      </c>
      <c r="D3">
        <f>Programmering!N9</f>
        <v>4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46234</v>
      </c>
      <c r="J3" s="22">
        <f>Programmering!G18</f>
        <v>850</v>
      </c>
      <c r="K3" s="22">
        <f>Programmering!G19</f>
        <v>200</v>
      </c>
      <c r="L3" s="22">
        <f>Programmering!G20</f>
        <v>610</v>
      </c>
      <c r="M3">
        <f>Programmering!N10</f>
        <v>10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0</v>
      </c>
      <c r="Z3" s="22">
        <f>Programmering!J32</f>
        <v>0</v>
      </c>
      <c r="AA3" s="22">
        <f>Programmering!H33+Programmering!I33</f>
        <v>0</v>
      </c>
      <c r="AB3" s="22">
        <f>Programmering!J33</f>
        <v>0</v>
      </c>
      <c r="AC3" s="22">
        <f>Programmering!H34+Programmering!I34</f>
        <v>0</v>
      </c>
      <c r="AD3" s="22">
        <f>Programmering!J34</f>
        <v>0</v>
      </c>
      <c r="AE3" s="22">
        <f>Programmering!H35+Programmering!I35</f>
        <v>0</v>
      </c>
      <c r="AF3" s="22">
        <f>Programmering!J35</f>
        <v>0</v>
      </c>
      <c r="AG3" s="22">
        <f>Programmering!H36+Programmering!I36</f>
        <v>0</v>
      </c>
      <c r="AH3" s="22">
        <f>Programmering!J36</f>
        <v>0</v>
      </c>
      <c r="AI3" s="22">
        <f>Programmering!K36</f>
        <v>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FC9FC-DA21-4342-8D40-ACC40D0C3663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